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aul/OneDrive/Writing/MOS 2019 Study Guide Excel Expert/Practice files/Objective3/"/>
    </mc:Choice>
  </mc:AlternateContent>
  <xr:revisionPtr revIDLastSave="8" documentId="8_{8AE49966-27A9-094A-B5C6-6E9CFCD35CF5}" xr6:coauthVersionLast="45" xr6:coauthVersionMax="45" xr10:uidLastSave="{16392DAE-1F5C-644D-93FE-C2BD0F8472FF}"/>
  <bookViews>
    <workbookView xWindow="-49400" yWindow="5900" windowWidth="27240" windowHeight="16440" activeTab="5" xr2:uid="{1BD6C759-59F8-A240-85C0-E06ED665FB22}"/>
  </bookViews>
  <sheets>
    <sheet name="Consolidate by Position" sheetId="1" r:id="rId1"/>
    <sheet name="Consolidate by Category" sheetId="2" r:id="rId2"/>
    <sheet name="Break Even" sheetId="3" r:id="rId3"/>
    <sheet name="Scenarios" sheetId="4" r:id="rId4"/>
    <sheet name="NPER" sheetId="5" r:id="rId5"/>
    <sheet name="PMT" sheetId="6" r:id="rId6"/>
  </sheets>
  <externalReferences>
    <externalReference r:id="rId7"/>
    <externalReference r:id="rId8"/>
  </externalReferences>
  <definedNames>
    <definedName name="Changing_Cells">Scenarios!$C$7:$C$9</definedName>
    <definedName name="Down_Payment">[1]Scenarios!$C$7</definedName>
    <definedName name="Expenses">[2]Iterate!$C$4</definedName>
    <definedName name="Finley_Sprocket">'[2]Break Even (Solver)'!$B$3:$B$12</definedName>
    <definedName name="Fixed_Cells">Scenarios!$C$2</definedName>
    <definedName name="Fixed_Costs">'[2]Break Even (Solver)'!$B$9:$C$9</definedName>
    <definedName name="Gross_Margin">[2]Iterate!$C$3</definedName>
    <definedName name="Gross_Profit">[2]Iterate!$C$5</definedName>
    <definedName name="House_Price">[1]Scenarios!$C$3</definedName>
    <definedName name="Interest">Scenarios!$C$4</definedName>
    <definedName name="Interest_Rate">[1]Scenarios!$C$4</definedName>
    <definedName name="Langstrom_Wrench">'[2]Break Even (Solver)'!$C$3:$C$12</definedName>
    <definedName name="Net_Profit">[2]Iterate!$C$7</definedName>
    <definedName name="NPer2">'[2]Future Value (2-Inputs)'!$C$3</definedName>
    <definedName name="Paydown">[1]Scenarios!$C$9</definedName>
    <definedName name="Paydown_Payment">Scenarios!$D$12</definedName>
    <definedName name="Paydown_Total">Scenarios!$D$13</definedName>
    <definedName name="Price">'[2]Break Even (Solver)'!$B$3:$C$3</definedName>
    <definedName name="Profit">'[2]Break Even (Solver)'!$B$12:$C$12</definedName>
    <definedName name="Profit_Margin">'[2]Break Even (Goal Seek)'!$B$12:$C$12</definedName>
    <definedName name="Profit_Sharing">[2]Iterate!$C$6</definedName>
    <definedName name="Profit_Sharing_Percentage">[2]Iterate!$C$9</definedName>
    <definedName name="Rate2">'[2]Future Value (2-Inputs)'!$C$2</definedName>
    <definedName name="Regular_Payment">Scenarios!$C$12</definedName>
    <definedName name="Regular_Total">Scenarios!$C$13</definedName>
    <definedName name="Revenue">'[2]Break Even (Solver)'!$B$5:$C$5</definedName>
    <definedName name="Revised_Term">Scenarios!$D$15</definedName>
    <definedName name="Term">[1]Scenarios!$C$8</definedName>
    <definedName name="Total_Costs">'[2]Break Even (Solver)'!$B$10:$C$10</definedName>
    <definedName name="Total_Savings">Scenarios!$D$14</definedName>
    <definedName name="Unit_Cost">'[2]Break Even (Solver)'!$B$7:$C$7</definedName>
    <definedName name="Units">'[2]Break Even (Solver)'!$B$4:$C$4</definedName>
    <definedName name="Variable_Costs">'[2]Break Even (Solver)'!$B$8:$C$8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7" i="6" l="1"/>
  <c r="B7" i="5"/>
  <c r="C15" i="4" l="1"/>
  <c r="C14" i="4"/>
  <c r="C12" i="4"/>
  <c r="C13" i="4" s="1"/>
  <c r="C10" i="3"/>
  <c r="C6" i="3"/>
  <c r="N15" i="1"/>
  <c r="N14" i="1"/>
  <c r="N13" i="1"/>
  <c r="N12" i="1"/>
  <c r="N11" i="1"/>
  <c r="N10" i="1"/>
  <c r="M9" i="1"/>
  <c r="M16" i="1" s="1"/>
  <c r="M17" i="1" s="1"/>
  <c r="M7" i="1"/>
  <c r="L7" i="1"/>
  <c r="K7" i="1"/>
  <c r="K9" i="1" s="1"/>
  <c r="K16" i="1" s="1"/>
  <c r="K17" i="1" s="1"/>
  <c r="J7" i="1"/>
  <c r="I7" i="1"/>
  <c r="H7" i="1"/>
  <c r="G7" i="1"/>
  <c r="G9" i="1" s="1"/>
  <c r="G16" i="1" s="1"/>
  <c r="G17" i="1" s="1"/>
  <c r="F7" i="1"/>
  <c r="F9" i="1" s="1"/>
  <c r="F16" i="1" s="1"/>
  <c r="F17" i="1" s="1"/>
  <c r="E7" i="1"/>
  <c r="E9" i="1" s="1"/>
  <c r="E16" i="1" s="1"/>
  <c r="E17" i="1" s="1"/>
  <c r="D7" i="1"/>
  <c r="C7" i="1"/>
  <c r="C9" i="1" s="1"/>
  <c r="C16" i="1" s="1"/>
  <c r="C17" i="1" s="1"/>
  <c r="B7" i="1"/>
  <c r="N6" i="1"/>
  <c r="N5" i="1"/>
  <c r="N4" i="1"/>
  <c r="C12" i="3" l="1"/>
  <c r="C13" i="3" s="1"/>
  <c r="D9" i="1"/>
  <c r="D16" i="1" s="1"/>
  <c r="D17" i="1" s="1"/>
  <c r="L9" i="1"/>
  <c r="L16" i="1" s="1"/>
  <c r="L17" i="1" s="1"/>
  <c r="D12" i="4"/>
  <c r="H9" i="1"/>
  <c r="H16" i="1" s="1"/>
  <c r="H17" i="1" s="1"/>
  <c r="N7" i="1"/>
  <c r="I9" i="1"/>
  <c r="I16" i="1" s="1"/>
  <c r="I17" i="1" s="1"/>
  <c r="B9" i="1"/>
  <c r="J9" i="1"/>
  <c r="J16" i="1" s="1"/>
  <c r="J17" i="1" s="1"/>
  <c r="N9" i="1" l="1"/>
  <c r="B16" i="1"/>
  <c r="D15" i="4"/>
  <c r="D13" i="4" s="1"/>
  <c r="D14" i="4" s="1"/>
  <c r="N16" i="1" l="1"/>
  <c r="B17" i="1"/>
  <c r="N17" i="1" s="1"/>
</calcChain>
</file>

<file path=xl/sharedStrings.xml><?xml version="1.0" encoding="utf-8"?>
<sst xmlns="http://schemas.openxmlformats.org/spreadsheetml/2006/main" count="97" uniqueCount="65">
  <si>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</si>
  <si>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</si>
  <si>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</si>
  <si>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</si>
  <si>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</si>
  <si>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</si>
  <si>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</si>
  <si>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</si>
  <si>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</si>
  <si>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</si>
  <si>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</si>
  <si>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</si>
  <si>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</si>
  <si>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Sales</t>
  </si>
  <si>
    <t>Books</t>
  </si>
  <si>
    <t>Software</t>
  </si>
  <si>
    <t>CD-ROMs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</si>
  <si>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</si>
  <si>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</si>
  <si>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</si>
  <si>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</si>
  <si>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</si>
  <si>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</si>
  <si>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</si>
  <si>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</si>
  <si>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</si>
  <si>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</si>
  <si>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</si>
  <si>
    <t>Videos</t>
  </si>
  <si>
    <t>Using Goal Seek to Determine a Break-Even Point</t>
  </si>
  <si>
    <t>Price per Unit</t>
  </si>
  <si>
    <t>Units Sold</t>
  </si>
  <si>
    <t>Average Discount</t>
  </si>
  <si>
    <t>Total Revenue</t>
  </si>
  <si>
    <t>Costs per Unit</t>
  </si>
  <si>
    <t>Fixed Costs</t>
  </si>
  <si>
    <t>Total Costs</t>
  </si>
  <si>
    <t>Profit</t>
  </si>
  <si>
    <t>Margin</t>
  </si>
  <si>
    <t>Mortgage Analysis</t>
  </si>
  <si>
    <t>Fixed Cells:</t>
  </si>
  <si>
    <t>House Price</t>
  </si>
  <si>
    <t>Interest Rate</t>
  </si>
  <si>
    <t>Changing Cells:</t>
  </si>
  <si>
    <t>Down Payment</t>
  </si>
  <si>
    <t>Term</t>
  </si>
  <si>
    <t>Paydown</t>
  </si>
  <si>
    <t>Results:</t>
  </si>
  <si>
    <t>Regular Mortgage</t>
  </si>
  <si>
    <t>With Paydown</t>
  </si>
  <si>
    <t>Monthly Payment</t>
  </si>
  <si>
    <t>Total Paid</t>
  </si>
  <si>
    <t>Total Savings</t>
  </si>
  <si>
    <t>Revised Term</t>
  </si>
  <si>
    <t>Calculating the Required Number of Periods</t>
  </si>
  <si>
    <t>Interest Rate (Annual)</t>
  </si>
  <si>
    <t>Deposit Per Month</t>
  </si>
  <si>
    <t>Initial Deposit</t>
  </si>
  <si>
    <t>Future Value</t>
  </si>
  <si>
    <t>Deposit Type</t>
  </si>
  <si>
    <t>Number of Periods</t>
  </si>
  <si>
    <t>Calculating the Required Deposit</t>
  </si>
  <si>
    <t>Term (Years)</t>
  </si>
  <si>
    <t>Monthly Deposit</t>
  </si>
  <si>
    <t>months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</si>
</sst>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164" formatCode="\G\e\n\e\r\a\l"/>
    <numFmt numFmtId="165" formatCode="0.0"/>
    <numFmt numFmtId="166" formatCode="0.0%"/>
  </numFmts>
  <fonts count="13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name val="Calibri"/>
      <family val="2"/>
      <scheme val="minor"/>
    </font>
    <font>
      <i/>
      <sz val="18"/>
      <color theme="3"/>
      <name val="Calibri Light"/>
      <family val="1"/>
      <scheme val="major"/>
    </font>
    <font>
      <sz val="10"/>
      <name val="MS Sans Serif"/>
      <family val="2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3"/>
      <name val="Calibri"/>
      <family val="2"/>
      <scheme val="minor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  <xf numFmtId="164" fontId="8" fillId="0" borderId="0"/>
    <xf numFmtId="164" fontId="3" fillId="0" borderId="0"/>
  </cellStyleXfs>
  <cellXfs count="46">
    <xf numFmtId="0" fontId="0" fillId="0" borderId="0" xfId="0"/>
    <xf numFmtId="3" fontId="4" fillId="2" borderId="1" xfId="3" applyNumberFormat="1" applyFont="1" applyFill="1" applyBorder="1" applyAlignment="1">
      <alignment horizontal="left"/>
    </xf>
    <xf numFmtId="3" fontId="4" fillId="2" borderId="2" xfId="3" applyNumberFormat="1" applyFont="1" applyFill="1" applyBorder="1" applyAlignment="1">
      <alignment horizontal="center"/>
    </xf>
    <xf numFmtId="3" fontId="4" fillId="2" borderId="3" xfId="3" applyNumberFormat="1" applyFont="1" applyFill="1" applyBorder="1" applyAlignment="1">
      <alignment horizontal="center"/>
    </xf>
    <xf numFmtId="3" fontId="4" fillId="0" borderId="0" xfId="3" applyNumberFormat="1" applyFont="1" applyAlignment="1">
      <alignment horizontal="center"/>
    </xf>
    <xf numFmtId="3" fontId="5" fillId="0" borderId="0" xfId="3" applyNumberFormat="1" applyFont="1" applyAlignment="1">
      <alignment horizontal="left"/>
    </xf>
    <xf numFmtId="3" fontId="6" fillId="0" borderId="0" xfId="3" applyNumberFormat="1" applyFont="1" applyAlignment="1">
      <alignment horizontal="center"/>
    </xf>
    <xf numFmtId="3" fontId="6" fillId="2" borderId="4" xfId="3" applyNumberFormat="1" applyFont="1" applyFill="1" applyBorder="1" applyAlignment="1">
      <alignment horizontal="center"/>
    </xf>
    <xf numFmtId="3" fontId="4" fillId="0" borderId="0" xfId="3" applyNumberFormat="1" applyFont="1" applyAlignment="1">
      <alignment horizontal="left"/>
    </xf>
    <xf numFmtId="3" fontId="6" fillId="2" borderId="5" xfId="3" applyNumberFormat="1" applyFont="1" applyFill="1" applyBorder="1" applyAlignment="1">
      <alignment horizontal="center"/>
    </xf>
    <xf numFmtId="3" fontId="6" fillId="2" borderId="2" xfId="0" applyNumberFormat="1" applyFont="1" applyFill="1" applyBorder="1" applyAlignment="1">
      <alignment horizontal="center"/>
    </xf>
    <xf numFmtId="3" fontId="6" fillId="2" borderId="6" xfId="3" applyNumberFormat="1" applyFont="1" applyFill="1" applyBorder="1" applyAlignment="1">
      <alignment horizontal="center"/>
    </xf>
    <xf numFmtId="3" fontId="6" fillId="2" borderId="2" xfId="3" applyNumberFormat="1" applyFont="1" applyFill="1" applyBorder="1" applyAlignment="1">
      <alignment horizontal="center"/>
    </xf>
    <xf numFmtId="0" fontId="3" fillId="0" borderId="0" xfId="3"/>
    <xf numFmtId="3" fontId="3" fillId="0" borderId="0" xfId="3" applyNumberFormat="1"/>
    <xf numFmtId="3" fontId="4" fillId="2" borderId="2" xfId="0" applyNumberFormat="1" applyFont="1" applyFill="1" applyBorder="1" applyAlignment="1">
      <alignment horizontal="left"/>
    </xf>
    <xf numFmtId="164" fontId="7" fillId="0" borderId="0" xfId="1" applyNumberFormat="1" applyFont="1"/>
    <xf numFmtId="164" fontId="9" fillId="0" borderId="0" xfId="4" applyFont="1"/>
    <xf numFmtId="164" fontId="10" fillId="0" borderId="0" xfId="4" applyFont="1"/>
    <xf numFmtId="7" fontId="9" fillId="0" borderId="0" xfId="4" applyNumberFormat="1" applyFont="1"/>
    <xf numFmtId="3" fontId="9" fillId="0" borderId="0" xfId="4" applyNumberFormat="1" applyFont="1"/>
    <xf numFmtId="164" fontId="10" fillId="0" borderId="7" xfId="4" applyFont="1" applyBorder="1"/>
    <xf numFmtId="9" fontId="9" fillId="0" borderId="7" xfId="4" applyNumberFormat="1" applyFont="1" applyBorder="1"/>
    <xf numFmtId="5" fontId="9" fillId="0" borderId="0" xfId="4" applyNumberFormat="1" applyFont="1"/>
    <xf numFmtId="164" fontId="10" fillId="0" borderId="7" xfId="5" applyFont="1" applyBorder="1"/>
    <xf numFmtId="5" fontId="9" fillId="0" borderId="7" xfId="4" applyNumberFormat="1" applyFont="1" applyBorder="1"/>
    <xf numFmtId="10" fontId="9" fillId="0" borderId="0" xfId="4" applyNumberFormat="1" applyFont="1"/>
    <xf numFmtId="0" fontId="9" fillId="0" borderId="0" xfId="3" applyFont="1"/>
    <xf numFmtId="0" fontId="11" fillId="0" borderId="0" xfId="2" applyFont="1"/>
    <xf numFmtId="0" fontId="9" fillId="0" borderId="0" xfId="3" applyFont="1" applyAlignment="1">
      <alignment horizontal="right"/>
    </xf>
    <xf numFmtId="6" fontId="9" fillId="0" borderId="0" xfId="3" applyNumberFormat="1" applyFont="1"/>
    <xf numFmtId="10" fontId="9" fillId="0" borderId="0" xfId="3" applyNumberFormat="1" applyFont="1"/>
    <xf numFmtId="5" fontId="9" fillId="0" borderId="0" xfId="3" applyNumberFormat="1" applyFont="1"/>
    <xf numFmtId="0" fontId="4" fillId="0" borderId="0" xfId="3" applyFont="1" applyAlignment="1">
      <alignment horizontal="center" wrapText="1"/>
    </xf>
    <xf numFmtId="7" fontId="9" fillId="0" borderId="0" xfId="0" applyNumberFormat="1" applyFont="1"/>
    <xf numFmtId="8" fontId="9" fillId="0" borderId="0" xfId="0" applyNumberFormat="1" applyFont="1"/>
    <xf numFmtId="165" fontId="9" fillId="0" borderId="0" xfId="0" applyNumberFormat="1" applyFont="1"/>
    <xf numFmtId="0" fontId="1" fillId="0" borderId="0" xfId="1" applyAlignment="1">
      <alignment horizontal="center"/>
    </xf>
    <xf numFmtId="0" fontId="1" fillId="0" borderId="0" xfId="1"/>
    <xf numFmtId="166" fontId="9" fillId="0" borderId="0" xfId="3" applyNumberFormat="1" applyFont="1"/>
    <xf numFmtId="0" fontId="12" fillId="0" borderId="0" xfId="3" applyFont="1"/>
    <xf numFmtId="165" fontId="10" fillId="0" borderId="0" xfId="3" applyNumberFormat="1" applyFont="1"/>
    <xf numFmtId="0" fontId="10" fillId="0" borderId="0" xfId="3" applyFont="1"/>
    <xf numFmtId="165" fontId="12" fillId="0" borderId="0" xfId="3" applyNumberFormat="1" applyFont="1"/>
    <xf numFmtId="165" fontId="9" fillId="0" borderId="0" xfId="3" applyNumberFormat="1" applyFont="1"/>
    <xf numFmtId="8" fontId="9" fillId="0" borderId="0" xfId="3" applyNumberFormat="1" applyFont="1"/>
  </cellXfs>
  <cellStyles count="6">
    <cellStyle name="Heading 4" xfId="2" builtinId="19"/>
    <cellStyle name="Normal" xfId="0" builtinId="0"/>
    <cellStyle name="Normal 2" xfId="3" xr:uid="{7F8925C0-BF8A-8841-A2CB-77C6B33334BC}"/>
    <cellStyle name="Normal_Analysis" xfId="5" xr:uid="{3AE75823-A73E-A64D-9DDF-4CE4F789E52F}"/>
    <cellStyle name="Normal_MARGIN" xfId="4" xr:uid="{903BD503-7BC8-E442-89A2-17F3D40B7DB8}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b1777c78eef3b74d/Workbooks/Examples/Ch15/Modelin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b1777c78eef3b74d/Workbooks/Examples/Ch15/Analysi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ture Value"/>
      <sheetName val="Future Value (Data Table)"/>
      <sheetName val="Future Value (Data Table 2)"/>
      <sheetName val="Future Value (2-Inputs)"/>
      <sheetName val="Goal Seek"/>
      <sheetName val="Product Margin"/>
      <sheetName val="Break Even"/>
      <sheetName val="Equations"/>
      <sheetName val="Scenari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C3">
            <v>100000</v>
          </cell>
        </row>
        <row r="4">
          <cell r="C4">
            <v>0.04</v>
          </cell>
        </row>
        <row r="7">
          <cell r="C7">
            <v>20000</v>
          </cell>
        </row>
        <row r="8">
          <cell r="C8">
            <v>20</v>
          </cell>
        </row>
        <row r="9">
          <cell r="C9">
            <v>-100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ture Value"/>
      <sheetName val="Future Value (Data Table)"/>
      <sheetName val="Future Value (2-Inputs)"/>
      <sheetName val="Trend"/>
      <sheetName val="Iterate"/>
      <sheetName val="Correlation"/>
      <sheetName val="Descriptive"/>
      <sheetName val="Histogram"/>
      <sheetName val="Random (Dice Roll)"/>
      <sheetName val="Rank &amp; Percentile"/>
      <sheetName val="Goal Seek"/>
      <sheetName val="Margin"/>
      <sheetName val="Break Even"/>
      <sheetName val="Equations"/>
      <sheetName val="Chart Goal Seek"/>
      <sheetName val="Break Even (Goal Seek)"/>
      <sheetName val="Break Even (Solver)"/>
      <sheetName val="Sheet14"/>
      <sheetName val="Sheet15"/>
      <sheetName val="Sheet16"/>
    </sheetNames>
    <sheetDataSet>
      <sheetData sheetId="0"/>
      <sheetData sheetId="1"/>
      <sheetData sheetId="2">
        <row r="2">
          <cell r="C2">
            <v>0.05</v>
          </cell>
        </row>
        <row r="3">
          <cell r="C3">
            <v>10</v>
          </cell>
        </row>
      </sheetData>
      <sheetData sheetId="3"/>
      <sheetData sheetId="4">
        <row r="3">
          <cell r="C3">
            <v>1000000</v>
          </cell>
        </row>
        <row r="4">
          <cell r="C4">
            <v>900000</v>
          </cell>
        </row>
        <row r="5">
          <cell r="C5">
            <v>100000</v>
          </cell>
        </row>
        <row r="7">
          <cell r="C7">
            <v>100000</v>
          </cell>
        </row>
        <row r="9">
          <cell r="C9">
            <v>0.1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2">
          <cell r="B12">
            <v>7177.0334928229568</v>
          </cell>
          <cell r="C12">
            <v>8032.1285140562686</v>
          </cell>
        </row>
      </sheetData>
      <sheetData sheetId="16">
        <row r="3">
          <cell r="B3">
            <v>24.95</v>
          </cell>
          <cell r="C3">
            <v>19.95</v>
          </cell>
        </row>
        <row r="4">
          <cell r="B4">
            <v>8032.1285140562231</v>
          </cell>
          <cell r="C4">
            <v>7177.0334928229695</v>
          </cell>
        </row>
        <row r="5">
          <cell r="B5">
            <v>200401.60642570278</v>
          </cell>
          <cell r="C5">
            <v>143181.81818181823</v>
          </cell>
        </row>
        <row r="7">
          <cell r="B7">
            <v>12.5</v>
          </cell>
          <cell r="C7">
            <v>9.5</v>
          </cell>
        </row>
        <row r="8">
          <cell r="B8">
            <v>93224.572932879819</v>
          </cell>
          <cell r="C8">
            <v>60149.689667761981</v>
          </cell>
        </row>
        <row r="9">
          <cell r="B9">
            <v>100000</v>
          </cell>
          <cell r="C9">
            <v>75000</v>
          </cell>
        </row>
        <row r="10">
          <cell r="B10">
            <v>193224.57293287982</v>
          </cell>
          <cell r="C10">
            <v>135149.68966776197</v>
          </cell>
        </row>
        <row r="12">
          <cell r="B12">
            <v>7177.0334928229568</v>
          </cell>
          <cell r="C12">
            <v>8032.1285140562686</v>
          </cell>
        </row>
      </sheetData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externalLinkPath" Target="ExcelExpert_3-4f.xlsx" TargetMode="External"/><Relationship Id="rId2" Type="http://schemas.openxmlformats.org/officeDocument/2006/relationships/externalLinkPath" Target="ExcelExpert_3-4e.xlsx" TargetMode="External"/><Relationship Id="rId1" Type="http://schemas.openxmlformats.org/officeDocument/2006/relationships/externalLinkPath" Target="ExcelExpert_3-4d.xlsx" TargetMode="External"/><Relationship Id="rId4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48B36C-5CF8-784D-951B-204AF9767EE0}">
  <dimension ref="A2:N17"/>
  <sheetViews>
    <sheetView showGridLines="0" workbookViewId="0">
      <selection activeCell="B7" sqref="B7"/>
    </sheetView>
  </sheetViews>
  <sheetFormatPr baseColWidth="10" defaultColWidth="9.1640625" defaultRowHeight="16"/>
  <cols>
    <col min="1" max="1" width="17.5" style="8" customWidth="1"/>
    <col min="2" max="13" width="9.1640625" style="6"/>
    <col min="14" max="14" width="10.1640625" style="6" bestFit="1" customWidth="1"/>
    <col min="15" max="16384" width="9.1640625" style="6"/>
  </cols>
  <sheetData>
    <row r="2" spans="1:14" s="4" customFormat="1">
      <c r="A2" s="1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3" t="s">
        <v>12</v>
      </c>
    </row>
    <row r="3" spans="1:14" ht="14.25" customHeight="1">
      <c r="A3" s="5" t="s">
        <v>13</v>
      </c>
      <c r="N3" s="7"/>
    </row>
    <row r="4" spans="1:14">
      <c r="A4" s="8" t="s">
        <v>14</v>
      </c>
      <c r="B4" s="6">
        <v>71205</v>
      </c>
      <c r="C4" s="6">
        <v>69690</v>
      </c>
      <c r="D4" s="6">
        <v>72720</v>
      </c>
      <c r="E4" s="6">
        <v>76053</v>
      </c>
      <c r="F4" s="6">
        <v>75750</v>
      </c>
      <c r="G4" s="6">
        <v>76962</v>
      </c>
      <c r="H4" s="6">
        <v>78780</v>
      </c>
      <c r="I4" s="6">
        <v>72720</v>
      </c>
      <c r="J4" s="6">
        <v>72720</v>
      </c>
      <c r="K4" s="6">
        <v>78780</v>
      </c>
      <c r="L4" s="6">
        <v>72720</v>
      </c>
      <c r="M4" s="6">
        <v>72720</v>
      </c>
      <c r="N4" s="9">
        <f>SUM(B4:M4)</f>
        <v>890820</v>
      </c>
    </row>
    <row r="5" spans="1:14">
      <c r="A5" s="8" t="s">
        <v>15</v>
      </c>
      <c r="B5" s="6">
        <v>87112.5</v>
      </c>
      <c r="C5" s="6">
        <v>84234</v>
      </c>
      <c r="D5" s="6">
        <v>89385</v>
      </c>
      <c r="E5" s="6">
        <v>93930</v>
      </c>
      <c r="F5" s="6">
        <v>92415</v>
      </c>
      <c r="G5" s="6">
        <v>90900</v>
      </c>
      <c r="H5" s="6">
        <v>93930</v>
      </c>
      <c r="I5" s="6">
        <v>89385</v>
      </c>
      <c r="J5" s="6">
        <v>89385</v>
      </c>
      <c r="K5" s="6">
        <v>96960</v>
      </c>
      <c r="L5" s="6">
        <v>89385</v>
      </c>
      <c r="M5" s="6">
        <v>89385</v>
      </c>
      <c r="N5" s="9">
        <f t="shared" ref="N5:N7" si="0">SUM(B5:M5)</f>
        <v>1086406.5</v>
      </c>
    </row>
    <row r="6" spans="1:14">
      <c r="A6" s="8" t="s">
        <v>16</v>
      </c>
      <c r="B6" s="6">
        <v>73932</v>
      </c>
      <c r="C6" s="6">
        <v>72720</v>
      </c>
      <c r="D6" s="6">
        <v>76507.5</v>
      </c>
      <c r="E6" s="6">
        <v>80598</v>
      </c>
      <c r="F6" s="6">
        <v>81810</v>
      </c>
      <c r="G6" s="6">
        <v>81052.5</v>
      </c>
      <c r="H6" s="6">
        <v>81810</v>
      </c>
      <c r="I6" s="6">
        <v>76507.5</v>
      </c>
      <c r="J6" s="6">
        <v>76507.5</v>
      </c>
      <c r="K6" s="6">
        <v>84840</v>
      </c>
      <c r="L6" s="6">
        <v>76507.5</v>
      </c>
      <c r="M6" s="6">
        <v>76507.5</v>
      </c>
      <c r="N6" s="9">
        <f t="shared" si="0"/>
        <v>939300</v>
      </c>
    </row>
    <row r="7" spans="1:14">
      <c r="A7" s="1" t="s">
        <v>17</v>
      </c>
      <c r="B7" s="10">
        <f t="shared" ref="B7:M7" si="1">SUM(B4:B6)</f>
        <v>232249.5</v>
      </c>
      <c r="C7" s="10">
        <f t="shared" si="1"/>
        <v>226644</v>
      </c>
      <c r="D7" s="10">
        <f t="shared" si="1"/>
        <v>238612.5</v>
      </c>
      <c r="E7" s="10">
        <f t="shared" si="1"/>
        <v>250581</v>
      </c>
      <c r="F7" s="10">
        <f t="shared" si="1"/>
        <v>249975</v>
      </c>
      <c r="G7" s="10">
        <f t="shared" si="1"/>
        <v>248914.5</v>
      </c>
      <c r="H7" s="10">
        <f t="shared" si="1"/>
        <v>254520</v>
      </c>
      <c r="I7" s="10">
        <f t="shared" si="1"/>
        <v>238612.5</v>
      </c>
      <c r="J7" s="10">
        <f t="shared" si="1"/>
        <v>238612.5</v>
      </c>
      <c r="K7" s="10">
        <f t="shared" si="1"/>
        <v>260580</v>
      </c>
      <c r="L7" s="10">
        <f t="shared" si="1"/>
        <v>238612.5</v>
      </c>
      <c r="M7" s="10">
        <f t="shared" si="1"/>
        <v>238612.5</v>
      </c>
      <c r="N7" s="11">
        <f t="shared" si="0"/>
        <v>2916526.5</v>
      </c>
    </row>
    <row r="8" spans="1:14">
      <c r="A8" s="5" t="s">
        <v>18</v>
      </c>
      <c r="N8" s="9"/>
    </row>
    <row r="9" spans="1:14">
      <c r="A9" s="8" t="s">
        <v>19</v>
      </c>
      <c r="B9" s="6">
        <f>B7*0.08</f>
        <v>18579.96</v>
      </c>
      <c r="C9" s="6">
        <f t="shared" ref="C9:M9" si="2">C7*0.08</f>
        <v>18131.52</v>
      </c>
      <c r="D9" s="6">
        <f t="shared" si="2"/>
        <v>19089</v>
      </c>
      <c r="E9" s="6">
        <f t="shared" si="2"/>
        <v>20046.48</v>
      </c>
      <c r="F9" s="6">
        <f t="shared" si="2"/>
        <v>19998</v>
      </c>
      <c r="G9" s="6">
        <f t="shared" si="2"/>
        <v>19913.16</v>
      </c>
      <c r="H9" s="6">
        <f t="shared" si="2"/>
        <v>20361.600000000002</v>
      </c>
      <c r="I9" s="6">
        <f t="shared" si="2"/>
        <v>19089</v>
      </c>
      <c r="J9" s="6">
        <f t="shared" si="2"/>
        <v>19089</v>
      </c>
      <c r="K9" s="6">
        <f t="shared" si="2"/>
        <v>20846.400000000001</v>
      </c>
      <c r="L9" s="6">
        <f t="shared" si="2"/>
        <v>19089</v>
      </c>
      <c r="M9" s="6">
        <f t="shared" si="2"/>
        <v>19089</v>
      </c>
      <c r="N9" s="9">
        <f t="shared" ref="N9:N17" si="3">SUM(B9:M9)</f>
        <v>233322.12</v>
      </c>
    </row>
    <row r="10" spans="1:14">
      <c r="A10" s="8" t="s">
        <v>20</v>
      </c>
      <c r="B10" s="6">
        <v>13478</v>
      </c>
      <c r="C10" s="6">
        <v>12306</v>
      </c>
      <c r="D10" s="6">
        <v>15236</v>
      </c>
      <c r="E10" s="6">
        <v>14650</v>
      </c>
      <c r="F10" s="6">
        <v>16115</v>
      </c>
      <c r="G10" s="6">
        <v>15382.5</v>
      </c>
      <c r="H10" s="6">
        <v>16115</v>
      </c>
      <c r="I10" s="6">
        <v>15236</v>
      </c>
      <c r="J10" s="6">
        <v>15236</v>
      </c>
      <c r="K10" s="6">
        <v>13185</v>
      </c>
      <c r="L10" s="6">
        <v>15236</v>
      </c>
      <c r="M10" s="6">
        <v>15236</v>
      </c>
      <c r="N10" s="9">
        <f t="shared" si="3"/>
        <v>177411.5</v>
      </c>
    </row>
    <row r="11" spans="1:14">
      <c r="A11" s="8" t="s">
        <v>21</v>
      </c>
      <c r="B11" s="6">
        <v>6153</v>
      </c>
      <c r="C11" s="6">
        <v>6153</v>
      </c>
      <c r="D11" s="6">
        <v>6153</v>
      </c>
      <c r="E11" s="6">
        <v>6153</v>
      </c>
      <c r="F11" s="6">
        <v>6153</v>
      </c>
      <c r="G11" s="6">
        <v>6153</v>
      </c>
      <c r="H11" s="6">
        <v>6153</v>
      </c>
      <c r="I11" s="6">
        <v>6153</v>
      </c>
      <c r="J11" s="6">
        <v>6153</v>
      </c>
      <c r="K11" s="6">
        <v>6153</v>
      </c>
      <c r="L11" s="6">
        <v>6153</v>
      </c>
      <c r="M11" s="6">
        <v>6153</v>
      </c>
      <c r="N11" s="9">
        <f t="shared" si="3"/>
        <v>73836</v>
      </c>
    </row>
    <row r="12" spans="1:14">
      <c r="A12" s="8" t="s">
        <v>22</v>
      </c>
      <c r="B12" s="6">
        <v>3809</v>
      </c>
      <c r="C12" s="6">
        <v>3516</v>
      </c>
      <c r="D12" s="6">
        <v>4102</v>
      </c>
      <c r="E12" s="6">
        <v>3809</v>
      </c>
      <c r="F12" s="6">
        <v>3662.5</v>
      </c>
      <c r="G12" s="6">
        <v>4102</v>
      </c>
      <c r="H12" s="6">
        <v>3809</v>
      </c>
      <c r="I12" s="6">
        <v>4102</v>
      </c>
      <c r="J12" s="6">
        <v>4102</v>
      </c>
      <c r="K12" s="6">
        <v>3662.5</v>
      </c>
      <c r="L12" s="6">
        <v>3955.5</v>
      </c>
      <c r="M12" s="6">
        <v>4102</v>
      </c>
      <c r="N12" s="9">
        <f t="shared" si="3"/>
        <v>46733.5</v>
      </c>
    </row>
    <row r="13" spans="1:14">
      <c r="A13" s="8" t="s">
        <v>23</v>
      </c>
      <c r="B13" s="6">
        <v>46880</v>
      </c>
      <c r="C13" s="6">
        <v>46880</v>
      </c>
      <c r="D13" s="6">
        <v>48345</v>
      </c>
      <c r="E13" s="6">
        <v>48345</v>
      </c>
      <c r="F13" s="6">
        <v>48345</v>
      </c>
      <c r="G13" s="6">
        <v>49810</v>
      </c>
      <c r="H13" s="6">
        <v>49810</v>
      </c>
      <c r="I13" s="6">
        <v>49810</v>
      </c>
      <c r="J13" s="6">
        <v>49810</v>
      </c>
      <c r="K13" s="6">
        <v>49810</v>
      </c>
      <c r="L13" s="6">
        <v>51275</v>
      </c>
      <c r="M13" s="6">
        <v>51275</v>
      </c>
      <c r="N13" s="9">
        <f t="shared" si="3"/>
        <v>590395</v>
      </c>
    </row>
    <row r="14" spans="1:14">
      <c r="A14" s="8" t="s">
        <v>24</v>
      </c>
      <c r="B14" s="6">
        <v>41752.5</v>
      </c>
      <c r="C14" s="6">
        <v>40287.5</v>
      </c>
      <c r="D14" s="6">
        <v>42485</v>
      </c>
      <c r="E14" s="6">
        <v>43950</v>
      </c>
      <c r="F14" s="6">
        <v>42485</v>
      </c>
      <c r="G14" s="6">
        <v>43217.5</v>
      </c>
      <c r="H14" s="6">
        <v>43950</v>
      </c>
      <c r="I14" s="6">
        <v>42485</v>
      </c>
      <c r="J14" s="6">
        <v>42485</v>
      </c>
      <c r="K14" s="6">
        <v>46147.5</v>
      </c>
      <c r="L14" s="6">
        <v>44682.5</v>
      </c>
      <c r="M14" s="6">
        <v>42485</v>
      </c>
      <c r="N14" s="9">
        <f t="shared" si="3"/>
        <v>516412.5</v>
      </c>
    </row>
    <row r="15" spans="1:14">
      <c r="A15" s="8" t="s">
        <v>25</v>
      </c>
      <c r="B15" s="6">
        <v>1465</v>
      </c>
      <c r="C15" s="6">
        <v>1758</v>
      </c>
      <c r="D15" s="6">
        <v>1758</v>
      </c>
      <c r="E15" s="6">
        <v>1611.5</v>
      </c>
      <c r="F15" s="6">
        <v>1758</v>
      </c>
      <c r="G15" s="6">
        <v>1904.5</v>
      </c>
      <c r="H15" s="6">
        <v>1904.5</v>
      </c>
      <c r="I15" s="6">
        <v>1758</v>
      </c>
      <c r="J15" s="6">
        <v>1758</v>
      </c>
      <c r="K15" s="6">
        <v>1904.5</v>
      </c>
      <c r="L15" s="6">
        <v>1758</v>
      </c>
      <c r="M15" s="6">
        <v>1758</v>
      </c>
      <c r="N15" s="9">
        <f t="shared" si="3"/>
        <v>21096</v>
      </c>
    </row>
    <row r="16" spans="1:14">
      <c r="A16" s="1" t="s">
        <v>26</v>
      </c>
      <c r="B16" s="12">
        <f t="shared" ref="B16:M16" si="4">SUM(B9:B15)</f>
        <v>132117.46</v>
      </c>
      <c r="C16" s="12">
        <f t="shared" si="4"/>
        <v>129032.02</v>
      </c>
      <c r="D16" s="12">
        <f t="shared" si="4"/>
        <v>137168</v>
      </c>
      <c r="E16" s="12">
        <f t="shared" si="4"/>
        <v>138564.97999999998</v>
      </c>
      <c r="F16" s="12">
        <f t="shared" si="4"/>
        <v>138516.5</v>
      </c>
      <c r="G16" s="12">
        <f t="shared" si="4"/>
        <v>140482.66</v>
      </c>
      <c r="H16" s="12">
        <f t="shared" si="4"/>
        <v>142103.1</v>
      </c>
      <c r="I16" s="12">
        <f t="shared" si="4"/>
        <v>138633</v>
      </c>
      <c r="J16" s="12">
        <f t="shared" si="4"/>
        <v>138633</v>
      </c>
      <c r="K16" s="12">
        <f t="shared" si="4"/>
        <v>141708.9</v>
      </c>
      <c r="L16" s="12">
        <f t="shared" si="4"/>
        <v>142149</v>
      </c>
      <c r="M16" s="12">
        <f t="shared" si="4"/>
        <v>140098</v>
      </c>
      <c r="N16" s="11">
        <f t="shared" si="3"/>
        <v>1659206.6199999999</v>
      </c>
    </row>
    <row r="17" spans="1:14">
      <c r="A17" s="1" t="s">
        <v>27</v>
      </c>
      <c r="B17" s="12">
        <f>B7-B16</f>
        <v>100132.04000000001</v>
      </c>
      <c r="C17" s="12">
        <f t="shared" ref="C17:M17" si="5">C7-C16</f>
        <v>97611.98</v>
      </c>
      <c r="D17" s="12">
        <f t="shared" si="5"/>
        <v>101444.5</v>
      </c>
      <c r="E17" s="12">
        <f t="shared" si="5"/>
        <v>112016.02000000002</v>
      </c>
      <c r="F17" s="12">
        <f t="shared" si="5"/>
        <v>111458.5</v>
      </c>
      <c r="G17" s="12">
        <f t="shared" si="5"/>
        <v>108431.84</v>
      </c>
      <c r="H17" s="12">
        <f t="shared" si="5"/>
        <v>112416.9</v>
      </c>
      <c r="I17" s="12">
        <f t="shared" si="5"/>
        <v>99979.5</v>
      </c>
      <c r="J17" s="12">
        <f t="shared" si="5"/>
        <v>99979.5</v>
      </c>
      <c r="K17" s="12">
        <f t="shared" si="5"/>
        <v>118871.1</v>
      </c>
      <c r="L17" s="12">
        <f t="shared" si="5"/>
        <v>96463.5</v>
      </c>
      <c r="M17" s="12">
        <f t="shared" si="5"/>
        <v>98514.5</v>
      </c>
      <c r="N17" s="11">
        <f t="shared" si="3"/>
        <v>1257319.8800000001</v>
      </c>
    </row>
  </sheetData>
  <dataConsolidate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501E9-46B5-7247-AD47-9933F0488151}">
  <dimension ref="A1:N17"/>
  <sheetViews>
    <sheetView workbookViewId="0">
      <selection activeCell="B7" sqref="B7"/>
    </sheetView>
  </sheetViews>
  <sheetFormatPr baseColWidth="10" defaultColWidth="9.1640625" defaultRowHeight="13"/>
  <cols>
    <col min="1" max="1" width="17.5" style="13" bestFit="1" customWidth="1"/>
    <col min="2" max="13" width="9.1640625" style="13"/>
    <col min="14" max="14" width="10.1640625" style="13" bestFit="1" customWidth="1"/>
    <col min="15" max="16384" width="9.1640625" style="13"/>
  </cols>
  <sheetData>
    <row r="1" spans="1:14" ht="16">
      <c r="A1" s="2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</row>
    <row r="2" spans="1:14" ht="16">
      <c r="A2" s="5" t="s">
        <v>13</v>
      </c>
    </row>
    <row r="3" spans="1:14" ht="16">
      <c r="A3" s="8" t="s">
        <v>15</v>
      </c>
      <c r="B3" s="14">
        <v>51675</v>
      </c>
      <c r="C3" s="14">
        <v>50244</v>
      </c>
      <c r="D3" s="14">
        <v>52910</v>
      </c>
      <c r="E3" s="14">
        <v>55480</v>
      </c>
      <c r="F3" s="14">
        <v>54890</v>
      </c>
      <c r="G3" s="14">
        <v>54800</v>
      </c>
      <c r="H3" s="14">
        <v>56380</v>
      </c>
      <c r="I3" s="14">
        <v>52910</v>
      </c>
      <c r="J3" s="14">
        <v>52910</v>
      </c>
      <c r="K3" s="14">
        <v>57360</v>
      </c>
      <c r="L3" s="14">
        <v>52910</v>
      </c>
      <c r="M3" s="14">
        <v>52910</v>
      </c>
      <c r="N3" s="14">
        <v>645379</v>
      </c>
    </row>
    <row r="4" spans="1:14" ht="16">
      <c r="A4" s="8" t="s">
        <v>14</v>
      </c>
      <c r="B4" s="14">
        <v>76450</v>
      </c>
      <c r="C4" s="14">
        <v>74550</v>
      </c>
      <c r="D4" s="14">
        <v>78000</v>
      </c>
      <c r="E4" s="14">
        <v>82500</v>
      </c>
      <c r="F4" s="14">
        <v>81250</v>
      </c>
      <c r="G4" s="14">
        <v>81420</v>
      </c>
      <c r="H4" s="14">
        <v>83800</v>
      </c>
      <c r="I4" s="14">
        <v>78220</v>
      </c>
      <c r="J4" s="14">
        <v>78220</v>
      </c>
      <c r="K4" s="14">
        <v>84780</v>
      </c>
      <c r="L4" s="14">
        <v>78220</v>
      </c>
      <c r="M4" s="14">
        <v>78220</v>
      </c>
      <c r="N4" s="14">
        <v>955630</v>
      </c>
    </row>
    <row r="5" spans="1:14" ht="16">
      <c r="A5" s="8" t="s">
        <v>28</v>
      </c>
      <c r="B5" s="14">
        <v>50900</v>
      </c>
      <c r="C5" s="14">
        <v>49750</v>
      </c>
      <c r="D5" s="14">
        <v>51850</v>
      </c>
      <c r="E5" s="14">
        <v>55850</v>
      </c>
      <c r="F5" s="14">
        <v>55400</v>
      </c>
      <c r="G5" s="14">
        <v>53500</v>
      </c>
      <c r="H5" s="14">
        <v>55500</v>
      </c>
      <c r="I5" s="14">
        <v>53750</v>
      </c>
      <c r="J5" s="14">
        <v>53750</v>
      </c>
      <c r="K5" s="14">
        <v>56500</v>
      </c>
      <c r="L5" s="14">
        <v>53750</v>
      </c>
      <c r="M5" s="14">
        <v>53750</v>
      </c>
      <c r="N5" s="14">
        <v>310000</v>
      </c>
    </row>
    <row r="6" spans="1:14" ht="16">
      <c r="A6" s="8" t="s">
        <v>16</v>
      </c>
      <c r="B6" s="14">
        <v>49532</v>
      </c>
      <c r="C6" s="14">
        <v>48720</v>
      </c>
      <c r="D6" s="14">
        <v>51257.5</v>
      </c>
      <c r="E6" s="14">
        <v>53998</v>
      </c>
      <c r="F6" s="14">
        <v>54810</v>
      </c>
      <c r="G6" s="14">
        <v>54302.5</v>
      </c>
      <c r="H6" s="14">
        <v>54810</v>
      </c>
      <c r="I6" s="14">
        <v>51257.5</v>
      </c>
      <c r="J6" s="14">
        <v>51257.5</v>
      </c>
      <c r="K6" s="14">
        <v>56840</v>
      </c>
      <c r="L6" s="14">
        <v>51257.5</v>
      </c>
      <c r="M6" s="14">
        <v>51257.5</v>
      </c>
      <c r="N6" s="14">
        <v>629300</v>
      </c>
    </row>
    <row r="7" spans="1:14" ht="16">
      <c r="A7" s="15" t="s">
        <v>17</v>
      </c>
      <c r="B7" s="10">
        <v>228557</v>
      </c>
      <c r="C7" s="10">
        <v>223264</v>
      </c>
      <c r="D7" s="10">
        <v>234017.5</v>
      </c>
      <c r="E7" s="10">
        <v>247828</v>
      </c>
      <c r="F7" s="10">
        <v>246350</v>
      </c>
      <c r="G7" s="10">
        <v>244022.5</v>
      </c>
      <c r="H7" s="10">
        <v>250490</v>
      </c>
      <c r="I7" s="10">
        <v>236137.5</v>
      </c>
      <c r="J7" s="10">
        <v>236137.5</v>
      </c>
      <c r="K7" s="10">
        <v>255480</v>
      </c>
      <c r="L7" s="10">
        <v>236137.5</v>
      </c>
      <c r="M7" s="10">
        <v>236137.5</v>
      </c>
      <c r="N7" s="10">
        <v>2874559</v>
      </c>
    </row>
    <row r="8" spans="1:14" ht="16">
      <c r="A8" s="5" t="s">
        <v>18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</row>
    <row r="9" spans="1:14" ht="16">
      <c r="A9" s="8" t="s">
        <v>19</v>
      </c>
      <c r="B9" s="14">
        <v>18284.560000000001</v>
      </c>
      <c r="C9" s="14">
        <v>17861.12</v>
      </c>
      <c r="D9" s="14">
        <v>18721.400000000001</v>
      </c>
      <c r="E9" s="14">
        <v>19826.239999999998</v>
      </c>
      <c r="F9" s="14">
        <v>19708</v>
      </c>
      <c r="G9" s="14">
        <v>19521.800000000003</v>
      </c>
      <c r="H9" s="14">
        <v>20039.2</v>
      </c>
      <c r="I9" s="14">
        <v>18891</v>
      </c>
      <c r="J9" s="14">
        <v>18891</v>
      </c>
      <c r="K9" s="14">
        <v>20438.400000000001</v>
      </c>
      <c r="L9" s="14">
        <v>18891</v>
      </c>
      <c r="M9" s="14">
        <v>18891</v>
      </c>
      <c r="N9" s="14">
        <v>229964.72</v>
      </c>
    </row>
    <row r="10" spans="1:14" ht="16">
      <c r="A10" s="8" t="s">
        <v>20</v>
      </c>
      <c r="B10" s="14">
        <v>13478</v>
      </c>
      <c r="C10" s="14">
        <v>12306</v>
      </c>
      <c r="D10" s="14">
        <v>15236</v>
      </c>
      <c r="E10" s="14">
        <v>14650</v>
      </c>
      <c r="F10" s="14">
        <v>16115</v>
      </c>
      <c r="G10" s="14">
        <v>15382.5</v>
      </c>
      <c r="H10" s="14">
        <v>16115</v>
      </c>
      <c r="I10" s="14">
        <v>15236</v>
      </c>
      <c r="J10" s="14">
        <v>15236</v>
      </c>
      <c r="K10" s="14">
        <v>13185</v>
      </c>
      <c r="L10" s="14">
        <v>15236</v>
      </c>
      <c r="M10" s="14">
        <v>15236</v>
      </c>
      <c r="N10" s="14">
        <v>177411.5</v>
      </c>
    </row>
    <row r="11" spans="1:14" ht="16">
      <c r="A11" s="8" t="s">
        <v>21</v>
      </c>
      <c r="B11" s="14">
        <v>6153</v>
      </c>
      <c r="C11" s="14">
        <v>6153</v>
      </c>
      <c r="D11" s="14">
        <v>6153</v>
      </c>
      <c r="E11" s="14">
        <v>6153</v>
      </c>
      <c r="F11" s="14">
        <v>6153</v>
      </c>
      <c r="G11" s="14">
        <v>6153</v>
      </c>
      <c r="H11" s="14">
        <v>6153</v>
      </c>
      <c r="I11" s="14">
        <v>6153</v>
      </c>
      <c r="J11" s="14">
        <v>6153</v>
      </c>
      <c r="K11" s="14">
        <v>6153</v>
      </c>
      <c r="L11" s="14">
        <v>6153</v>
      </c>
      <c r="M11" s="14">
        <v>6153</v>
      </c>
      <c r="N11" s="14">
        <v>73836</v>
      </c>
    </row>
    <row r="12" spans="1:14" ht="16">
      <c r="A12" s="8" t="s">
        <v>22</v>
      </c>
      <c r="B12" s="14">
        <v>3809</v>
      </c>
      <c r="C12" s="14">
        <v>3516</v>
      </c>
      <c r="D12" s="14">
        <v>4102</v>
      </c>
      <c r="E12" s="14">
        <v>3809</v>
      </c>
      <c r="F12" s="14">
        <v>3662.5</v>
      </c>
      <c r="G12" s="14">
        <v>4102</v>
      </c>
      <c r="H12" s="14">
        <v>3809</v>
      </c>
      <c r="I12" s="14">
        <v>4102</v>
      </c>
      <c r="J12" s="14">
        <v>4102</v>
      </c>
      <c r="K12" s="14">
        <v>3662.5</v>
      </c>
      <c r="L12" s="14">
        <v>3955.5</v>
      </c>
      <c r="M12" s="14">
        <v>4102</v>
      </c>
      <c r="N12" s="14">
        <v>46733.5</v>
      </c>
    </row>
    <row r="13" spans="1:14" ht="16">
      <c r="A13" s="8" t="s">
        <v>23</v>
      </c>
      <c r="B13" s="14">
        <v>46880</v>
      </c>
      <c r="C13" s="14">
        <v>46880</v>
      </c>
      <c r="D13" s="14">
        <v>48345</v>
      </c>
      <c r="E13" s="14">
        <v>48345</v>
      </c>
      <c r="F13" s="14">
        <v>48345</v>
      </c>
      <c r="G13" s="14">
        <v>49810</v>
      </c>
      <c r="H13" s="14">
        <v>49810</v>
      </c>
      <c r="I13" s="14">
        <v>49810</v>
      </c>
      <c r="J13" s="14">
        <v>49810</v>
      </c>
      <c r="K13" s="14">
        <v>49810</v>
      </c>
      <c r="L13" s="14">
        <v>51275</v>
      </c>
      <c r="M13" s="14">
        <v>51275</v>
      </c>
      <c r="N13" s="14">
        <v>590395</v>
      </c>
    </row>
    <row r="14" spans="1:14" ht="16">
      <c r="A14" s="8" t="s">
        <v>24</v>
      </c>
      <c r="B14" s="14">
        <v>41752.5</v>
      </c>
      <c r="C14" s="14">
        <v>40287.5</v>
      </c>
      <c r="D14" s="14">
        <v>42485</v>
      </c>
      <c r="E14" s="14">
        <v>43950</v>
      </c>
      <c r="F14" s="14">
        <v>42485</v>
      </c>
      <c r="G14" s="14">
        <v>43217.5</v>
      </c>
      <c r="H14" s="14">
        <v>43950</v>
      </c>
      <c r="I14" s="14">
        <v>42485</v>
      </c>
      <c r="J14" s="14">
        <v>42485</v>
      </c>
      <c r="K14" s="14">
        <v>46147.5</v>
      </c>
      <c r="L14" s="14">
        <v>44682.5</v>
      </c>
      <c r="M14" s="14">
        <v>42485</v>
      </c>
      <c r="N14" s="14">
        <v>516412.5</v>
      </c>
    </row>
    <row r="15" spans="1:14" ht="16">
      <c r="A15" s="8" t="s">
        <v>25</v>
      </c>
      <c r="B15" s="14">
        <v>1465</v>
      </c>
      <c r="C15" s="14">
        <v>1758</v>
      </c>
      <c r="D15" s="14">
        <v>1758</v>
      </c>
      <c r="E15" s="14">
        <v>1611.5</v>
      </c>
      <c r="F15" s="14">
        <v>1758</v>
      </c>
      <c r="G15" s="14">
        <v>1904.5</v>
      </c>
      <c r="H15" s="14">
        <v>1904.5</v>
      </c>
      <c r="I15" s="14">
        <v>1758</v>
      </c>
      <c r="J15" s="14">
        <v>1758</v>
      </c>
      <c r="K15" s="14">
        <v>1904.5</v>
      </c>
      <c r="L15" s="14">
        <v>1758</v>
      </c>
      <c r="M15" s="14">
        <v>1758</v>
      </c>
      <c r="N15" s="14">
        <v>21096</v>
      </c>
    </row>
    <row r="16" spans="1:14" ht="16">
      <c r="A16" s="15" t="s">
        <v>26</v>
      </c>
      <c r="B16" s="10">
        <v>131822.06</v>
      </c>
      <c r="C16" s="10">
        <v>128761.62</v>
      </c>
      <c r="D16" s="10">
        <v>136800.4</v>
      </c>
      <c r="E16" s="10">
        <v>138344.74</v>
      </c>
      <c r="F16" s="10">
        <v>138226.5</v>
      </c>
      <c r="G16" s="10">
        <v>140091.29999999999</v>
      </c>
      <c r="H16" s="10">
        <v>141780.70000000001</v>
      </c>
      <c r="I16" s="10">
        <v>138435</v>
      </c>
      <c r="J16" s="10">
        <v>138435</v>
      </c>
      <c r="K16" s="10">
        <v>141300.9</v>
      </c>
      <c r="L16" s="10">
        <v>141951</v>
      </c>
      <c r="M16" s="10">
        <v>139900</v>
      </c>
      <c r="N16" s="10">
        <v>1655849.2200000002</v>
      </c>
    </row>
    <row r="17" spans="1:14" ht="16">
      <c r="A17" s="15" t="s">
        <v>27</v>
      </c>
      <c r="B17" s="10">
        <v>96734.94</v>
      </c>
      <c r="C17" s="10">
        <v>94502.38</v>
      </c>
      <c r="D17" s="10">
        <v>97217.1</v>
      </c>
      <c r="E17" s="10">
        <v>109483.26000000001</v>
      </c>
      <c r="F17" s="10">
        <v>108123.5</v>
      </c>
      <c r="G17" s="10">
        <v>103931.20000000001</v>
      </c>
      <c r="H17" s="10">
        <v>108709.3</v>
      </c>
      <c r="I17" s="10">
        <v>97702.5</v>
      </c>
      <c r="J17" s="10">
        <v>97702.5</v>
      </c>
      <c r="K17" s="10">
        <v>114179.1</v>
      </c>
      <c r="L17" s="10">
        <v>94186.5</v>
      </c>
      <c r="M17" s="10">
        <v>96237.5</v>
      </c>
      <c r="N17" s="10">
        <v>1218709.78</v>
      </c>
    </row>
  </sheetData>
  <dataConsolidate topLabels="1">
    <dataRefs count="3">
      <dataRef ref="A2:N17" sheet="Details" r:id="rId1"/>
      <dataRef ref="A2:N16" sheet="Details" r:id="rId2"/>
      <dataRef ref="A2:N18" sheet="Details" r:id="rId3"/>
    </dataRefs>
  </dataConsolidate>
  <pageMargins left="0.75" right="0.75" top="1" bottom="1" header="0.5" footer="0.5"/>
  <pageSetup orientation="portrait" horizontalDpi="0" verticalDpi="0" r:id="rId4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56A24-11BA-2444-9E92-0CBEA94AFCB3}">
  <dimension ref="B1:C13"/>
  <sheetViews>
    <sheetView showGridLines="0" workbookViewId="0">
      <selection activeCell="B7" sqref="B7"/>
    </sheetView>
  </sheetViews>
  <sheetFormatPr baseColWidth="10" defaultColWidth="9.1640625" defaultRowHeight="19"/>
  <cols>
    <col min="1" max="1" width="4.1640625" style="17" customWidth="1"/>
    <col min="2" max="2" width="18.83203125" style="17" customWidth="1"/>
    <col min="3" max="3" width="15.1640625" style="17" bestFit="1" customWidth="1"/>
    <col min="4" max="16384" width="9.1640625" style="17"/>
  </cols>
  <sheetData>
    <row r="1" spans="2:3" ht="27.75" customHeight="1">
      <c r="B1" s="16" t="s">
        <v>29</v>
      </c>
    </row>
    <row r="3" spans="2:3">
      <c r="B3" s="18" t="s">
        <v>30</v>
      </c>
      <c r="C3" s="19">
        <v>47.95</v>
      </c>
    </row>
    <row r="4" spans="2:3">
      <c r="B4" s="18" t="s">
        <v>31</v>
      </c>
      <c r="C4" s="20">
        <v>46468.401486988849</v>
      </c>
    </row>
    <row r="5" spans="2:3">
      <c r="B5" s="21" t="s">
        <v>32</v>
      </c>
      <c r="C5" s="22">
        <v>0.4</v>
      </c>
    </row>
    <row r="6" spans="2:3">
      <c r="B6" s="18" t="s">
        <v>33</v>
      </c>
      <c r="C6" s="23">
        <f>C4*C3*(1-C5)</f>
        <v>1336895.9107806692</v>
      </c>
    </row>
    <row r="8" spans="2:3">
      <c r="B8" s="18" t="s">
        <v>34</v>
      </c>
      <c r="C8" s="19">
        <v>12.63</v>
      </c>
    </row>
    <row r="9" spans="2:3">
      <c r="B9" s="24" t="s">
        <v>35</v>
      </c>
      <c r="C9" s="25">
        <v>750000</v>
      </c>
    </row>
    <row r="10" spans="2:3">
      <c r="B10" s="18" t="s">
        <v>36</v>
      </c>
      <c r="C10" s="23">
        <f>C4*C8+C9</f>
        <v>1336895.9107806692</v>
      </c>
    </row>
    <row r="12" spans="2:3">
      <c r="B12" s="18" t="s">
        <v>37</v>
      </c>
      <c r="C12" s="23">
        <f>C6-C10</f>
        <v>0</v>
      </c>
    </row>
    <row r="13" spans="2:3">
      <c r="B13" s="18" t="s">
        <v>38</v>
      </c>
      <c r="C13" s="26">
        <f>C12/C6</f>
        <v>0</v>
      </c>
    </row>
  </sheetData>
  <printOptions gridLinesSet="0"/>
  <pageMargins left="0.75" right="0.75" top="1" bottom="1" header="0.5" footer="0.5"/>
  <pageSetup orientation="portrait" horizontalDpi="4294967292" verticalDpi="4294967292"/>
  <headerFooter alignWithMargins="0">
    <oddHeader>&amp;F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D84C5C-AE98-104C-8724-937A68EC59C4}">
  <dimension ref="B1:D15"/>
  <sheetViews>
    <sheetView workbookViewId="0">
      <selection activeCell="B7" sqref="B7"/>
    </sheetView>
  </sheetViews>
  <sheetFormatPr baseColWidth="10" defaultColWidth="9.1640625" defaultRowHeight="19"/>
  <cols>
    <col min="1" max="1" width="31.83203125" style="27" customWidth="1"/>
    <col min="2" max="2" width="21.5" style="27" customWidth="1"/>
    <col min="3" max="3" width="18.33203125" style="27" customWidth="1"/>
    <col min="4" max="4" width="18.1640625" style="27" customWidth="1"/>
    <col min="5" max="16384" width="9.1640625" style="27"/>
  </cols>
  <sheetData>
    <row r="1" spans="2:4" ht="24">
      <c r="B1" s="37" t="s">
        <v>39</v>
      </c>
      <c r="C1" s="37"/>
      <c r="D1" s="37"/>
    </row>
    <row r="2" spans="2:4">
      <c r="B2" s="28" t="s">
        <v>40</v>
      </c>
    </row>
    <row r="3" spans="2:4">
      <c r="B3" s="29" t="s">
        <v>41</v>
      </c>
      <c r="C3" s="30">
        <v>100000</v>
      </c>
    </row>
    <row r="4" spans="2:4">
      <c r="B4" s="29" t="s">
        <v>42</v>
      </c>
      <c r="C4" s="31">
        <v>0.04</v>
      </c>
    </row>
    <row r="6" spans="2:4">
      <c r="B6" s="28" t="s">
        <v>43</v>
      </c>
    </row>
    <row r="7" spans="2:4">
      <c r="B7" s="29" t="s">
        <v>44</v>
      </c>
      <c r="C7" s="30">
        <v>20000</v>
      </c>
    </row>
    <row r="8" spans="2:4">
      <c r="B8" s="29" t="s">
        <v>45</v>
      </c>
      <c r="C8" s="27">
        <v>20</v>
      </c>
    </row>
    <row r="9" spans="2:4">
      <c r="B9" s="29" t="s">
        <v>46</v>
      </c>
      <c r="C9" s="32">
        <v>-100</v>
      </c>
    </row>
    <row r="11" spans="2:4" ht="34.5" customHeight="1">
      <c r="B11" s="28" t="s">
        <v>47</v>
      </c>
      <c r="C11" s="33" t="s">
        <v>48</v>
      </c>
      <c r="D11" s="33" t="s">
        <v>49</v>
      </c>
    </row>
    <row r="12" spans="2:4">
      <c r="B12" s="29" t="s">
        <v>50</v>
      </c>
      <c r="C12" s="34">
        <f>PMT(C4 / 12, C8 * 12, C3 - C7)</f>
        <v>-484.78426343953493</v>
      </c>
      <c r="D12" s="34">
        <f>C12  + C9</f>
        <v>-584.78426343953493</v>
      </c>
    </row>
    <row r="13" spans="2:4">
      <c r="B13" s="29" t="s">
        <v>51</v>
      </c>
      <c r="C13" s="34">
        <f>C12 * C8 * 12</f>
        <v>-116348.22322548837</v>
      </c>
      <c r="D13" s="34">
        <f>D12 * D15 * 12</f>
        <v>-106986.75295157434</v>
      </c>
    </row>
    <row r="14" spans="2:4">
      <c r="B14" s="29" t="s">
        <v>52</v>
      </c>
      <c r="C14" s="35" t="e">
        <f>NA()</f>
        <v>#N/A</v>
      </c>
      <c r="D14" s="35">
        <f>D13-C13</f>
        <v>9361.4702739140339</v>
      </c>
    </row>
    <row r="15" spans="2:4">
      <c r="B15" s="29" t="s">
        <v>53</v>
      </c>
      <c r="C15" s="35" t="e">
        <f>NA()</f>
        <v>#N/A</v>
      </c>
      <c r="D15" s="36">
        <f>NPER(C4 / 12, D12, C3 - C7) / 12</f>
        <v>15.245900588236969</v>
      </c>
    </row>
  </sheetData>
  <scenarios current="0" show="0" sqref="B12:C13 C14 C15">
    <scenario name="Best Case" count="3" user="Paul M" comment="Mortgage Analysis - Best Case Scenario:_x000a_ - maximum down payment_x000a_ - minimum term_x000a_ - maximum monthly paydown_x000a_">
      <inputCells r="C7" val="20000" numFmtId="6"/>
      <inputCells r="C8" val="20"/>
      <inputCells r="C9" val="-100" numFmtId="5"/>
    </scenario>
    <scenario name="Worst Case" locked="1" count="3" user="Paul McFedries" comment="Mortgage Analysis - Worst Case Scenario_x000a_ - minimum down payment_x000a_ - maximum term_x000a_ - no monthly paydown">
      <inputCells r="C7" val="10000" numFmtId="6"/>
      <inputCells r="C8" val="30"/>
      <inputCells r="C9" val="0" numFmtId="5"/>
    </scenario>
    <scenario name="Likeliest Case" locked="1" count="3" user="Paul M" comment="Mortgage Analysis - Likliest Case Scenario:_x000a_ - average down payment_x000a_ - average term_x000a_ - average monthly paydown_x000a_Modified by Paul M on 11/12/2012">
      <inputCells r="C7" val="15000" numFmtId="6"/>
      <inputCells r="C8" val="25"/>
      <inputCells r="C9" val="-50" numFmtId="5"/>
    </scenario>
  </scenarios>
  <mergeCells count="1">
    <mergeCell ref="B1:D1"/>
  </mergeCells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512CC-C70A-A54B-B283-056FD3D61BF0}">
  <dimension ref="A1:C8"/>
  <sheetViews>
    <sheetView workbookViewId="0">
      <selection activeCell="C7" sqref="C7"/>
    </sheetView>
  </sheetViews>
  <sheetFormatPr baseColWidth="10" defaultColWidth="9.1640625" defaultRowHeight="18"/>
  <cols>
    <col min="1" max="1" width="26" style="40" bestFit="1" customWidth="1"/>
    <col min="2" max="2" width="15.1640625" style="40" bestFit="1" customWidth="1"/>
    <col min="3" max="3" width="10.1640625" style="40" bestFit="1" customWidth="1"/>
    <col min="4" max="16384" width="9.1640625" style="40"/>
  </cols>
  <sheetData>
    <row r="1" spans="1:3" s="13" customFormat="1" ht="24">
      <c r="A1" s="38" t="s">
        <v>54</v>
      </c>
    </row>
    <row r="2" spans="1:3" ht="19">
      <c r="A2" s="27" t="s">
        <v>55</v>
      </c>
      <c r="B2" s="39">
        <v>0.05</v>
      </c>
      <c r="C2" s="27"/>
    </row>
    <row r="3" spans="1:3" ht="19">
      <c r="A3" s="27" t="s">
        <v>56</v>
      </c>
      <c r="B3" s="30">
        <v>-1000</v>
      </c>
      <c r="C3" s="27"/>
    </row>
    <row r="4" spans="1:3" ht="19">
      <c r="A4" s="27" t="s">
        <v>57</v>
      </c>
      <c r="B4" s="30">
        <v>-50000</v>
      </c>
      <c r="C4" s="27"/>
    </row>
    <row r="5" spans="1:3" ht="19">
      <c r="A5" s="27" t="s">
        <v>58</v>
      </c>
      <c r="B5" s="30">
        <v>1000000</v>
      </c>
      <c r="C5" s="27"/>
    </row>
    <row r="6" spans="1:3" ht="19">
      <c r="A6" s="27" t="s">
        <v>59</v>
      </c>
      <c r="B6" s="27">
        <v>0</v>
      </c>
      <c r="C6" s="27"/>
    </row>
    <row r="7" spans="1:3" ht="19">
      <c r="A7" s="29" t="s">
        <v>60</v>
      </c>
      <c r="B7" s="44">
        <f>NPER(B2 / 12, B3, B4, B5, B6)</f>
        <v>349.4425659556245</v>
      </c>
      <c r="C7" s="27" t="s">
        <v>64</v>
      </c>
    </row>
    <row r="8" spans="1:3" ht="19">
      <c r="A8" s="27"/>
      <c r="B8" s="41"/>
      <c r="C8" s="42"/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ADA69-C658-B643-A20F-83D1C51E5EBD}">
  <dimension ref="A1:B8"/>
  <sheetViews>
    <sheetView tabSelected="1" workbookViewId="0">
      <selection activeCell="B7" sqref="B7"/>
    </sheetView>
  </sheetViews>
  <sheetFormatPr baseColWidth="10" defaultColWidth="9.1640625" defaultRowHeight="18"/>
  <cols>
    <col min="1" max="1" width="26" style="40" bestFit="1" customWidth="1"/>
    <col min="2" max="2" width="13.83203125" style="40" customWidth="1"/>
    <col min="3" max="16384" width="9.1640625" style="40"/>
  </cols>
  <sheetData>
    <row r="1" spans="1:2" s="13" customFormat="1" ht="24">
      <c r="A1" s="38" t="s">
        <v>61</v>
      </c>
    </row>
    <row r="2" spans="1:2" ht="19">
      <c r="A2" s="27" t="s">
        <v>55</v>
      </c>
      <c r="B2" s="39">
        <v>7.4999999999999997E-2</v>
      </c>
    </row>
    <row r="3" spans="1:2" ht="19">
      <c r="A3" s="27" t="s">
        <v>62</v>
      </c>
      <c r="B3" s="27">
        <v>15</v>
      </c>
    </row>
    <row r="4" spans="1:2" ht="19">
      <c r="A4" s="27" t="s">
        <v>57</v>
      </c>
      <c r="B4" s="30">
        <v>0</v>
      </c>
    </row>
    <row r="5" spans="1:2" ht="19">
      <c r="A5" s="27" t="s">
        <v>58</v>
      </c>
      <c r="B5" s="30">
        <v>50000</v>
      </c>
    </row>
    <row r="6" spans="1:2" ht="19">
      <c r="A6" s="27" t="s">
        <v>59</v>
      </c>
      <c r="B6" s="27">
        <v>0</v>
      </c>
    </row>
    <row r="7" spans="1:2" ht="19">
      <c r="A7" s="29" t="s">
        <v>63</v>
      </c>
      <c r="B7" s="45">
        <f>PMT(B2 / 12, B3 * 12, B4, B5, B6)</f>
        <v>-151.0061800013691</v>
      </c>
    </row>
    <row r="8" spans="1:2">
      <c r="B8" s="43"/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Consolidate by Position</vt:lpstr>
      <vt:lpstr>Consolidate by Category</vt:lpstr>
      <vt:lpstr>Break Even</vt:lpstr>
      <vt:lpstr>Scenarios</vt:lpstr>
      <vt:lpstr>NPER</vt:lpstr>
      <vt:lpstr>PMT</vt:lpstr>
      <vt:lpstr>Changing_Cells</vt:lpstr>
      <vt:lpstr>Fixed_Cells</vt:lpstr>
      <vt:lpstr>Interest</vt:lpstr>
      <vt:lpstr>Paydown_Payment</vt:lpstr>
      <vt:lpstr>Paydown_Total</vt:lpstr>
      <vt:lpstr>Regular_Payment</vt:lpstr>
      <vt:lpstr>Regular_Total</vt:lpstr>
      <vt:lpstr>Revised_Term</vt:lpstr>
      <vt:lpstr>Total_Savings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Paul McFedries</cp:lastModifiedBy>
  <dcterms:created xsi:type="dcterms:W3CDTF">2019-11-04T20:14:18Z</dcterms:created>
  <dcterms:modified xsi:type="dcterms:W3CDTF">2019-11-04T23:20:07Z</dcterms:modified>
</cp:coreProperties>
</file>